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75" windowWidth="15585" windowHeight="117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<sst xmlns="http://schemas.openxmlformats.org/spreadsheetml/2006/main" count="7854" uniqueCount="840">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</sst>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837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6">
      <selection activeCell="D3" sqref="D3:H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2021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712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4"/>
  <sheetViews>
    <sheetView showGridLines="0" tabSelected="1" zoomScale="71" zoomScaleNormal="71" zoomScalePageLayoutView="0" workbookViewId="0" topLeftCell="A1">
      <pane xSplit="5" ySplit="15" topLeftCell="F12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D8" sqref="D8:J162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2022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11085.997</v>
      </c>
      <c r="G18" s="222">
        <f>SUM(G19,G20,G28,G32)</f>
        <v>8691.875</v>
      </c>
      <c r="H18" s="222">
        <f>SUM(H19,H20,H28,H32)</f>
        <v>0</v>
      </c>
      <c r="I18" s="222">
        <f>SUM(I19,I20,I28,I32)</f>
        <v>2394.122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9384.74</v>
      </c>
      <c r="G20" s="224">
        <f>SUM(G21:G27)</f>
        <v>7049.716</v>
      </c>
      <c r="H20" s="224">
        <f>SUM(H21:H27)</f>
        <v>0</v>
      </c>
      <c r="I20" s="224">
        <f>SUM(I21:I27)</f>
        <v>2335.024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7360.656</v>
      </c>
      <c r="G22" s="225">
        <v>7049.716</v>
      </c>
      <c r="H22" s="225"/>
      <c r="I22" s="225">
        <v>310.94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80.689</v>
      </c>
      <c r="G23" s="225"/>
      <c r="H23" s="225"/>
      <c r="I23" s="225">
        <v>80.689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1433.5439999999999</v>
      </c>
      <c r="G24" s="225"/>
      <c r="H24" s="225"/>
      <c r="I24" s="225">
        <v>1433.5439999999999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202.887</v>
      </c>
      <c r="G25" s="225"/>
      <c r="H25" s="225"/>
      <c r="I25" s="225">
        <v>202.887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306.964</v>
      </c>
      <c r="G26" s="225"/>
      <c r="H26" s="225"/>
      <c r="I26" s="225">
        <v>306.964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1701.257</v>
      </c>
      <c r="G28" s="224">
        <f>SUM(G29:G31)</f>
        <v>1642.159</v>
      </c>
      <c r="H28" s="224">
        <f>SUM(H29:H31)</f>
        <v>0</v>
      </c>
      <c r="I28" s="224">
        <f>SUM(I29:I31)</f>
        <v>59.098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1701.257</v>
      </c>
      <c r="G30" s="225">
        <v>1642.159</v>
      </c>
      <c r="H30" s="225"/>
      <c r="I30" s="225">
        <v>59.098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6829.678999999999</v>
      </c>
      <c r="G33" s="132"/>
      <c r="H33" s="228">
        <f>H34</f>
        <v>0</v>
      </c>
      <c r="I33" s="228">
        <f>I34+I35</f>
        <v>3939.173</v>
      </c>
      <c r="J33" s="227">
        <f>J34+J35+J36</f>
        <v>2890.5059999999994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3939.173</v>
      </c>
      <c r="G34" s="132"/>
      <c r="H34" s="225"/>
      <c r="I34" s="225">
        <f>G18-G38-G63</f>
        <v>3939.173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2890.5059999999994</v>
      </c>
      <c r="G36" s="133"/>
      <c r="H36" s="133"/>
      <c r="I36" s="133"/>
      <c r="J36" s="229">
        <f>I34+I18-I38-I63</f>
        <v>2890.5059999999994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10316.070000000002</v>
      </c>
      <c r="G38" s="228">
        <f>SUM(G39,G45,G51,G54,G57)</f>
        <v>4578.252</v>
      </c>
      <c r="H38" s="228">
        <f>SUM(H39,H45,H51,H54,H57)</f>
        <v>0</v>
      </c>
      <c r="I38" s="228">
        <f>SUM(I39,I45,I51,I54,I57)</f>
        <v>3157.0790000000006</v>
      </c>
      <c r="J38" s="227">
        <f>SUM(J39,J45,J51,J54,J57)</f>
        <v>2580.7390000000005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5769.380000000001</v>
      </c>
      <c r="G39" s="224">
        <f>SUM(G40:G44)</f>
        <v>1082.367</v>
      </c>
      <c r="H39" s="224">
        <f>SUM(H40:H44)</f>
        <v>0</v>
      </c>
      <c r="I39" s="224">
        <f>SUM(I40:I44)</f>
        <v>2106.2740000000003</v>
      </c>
      <c r="J39" s="227">
        <f>SUM(J40:J44)</f>
        <v>2580.7390000000005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4581.546</v>
      </c>
      <c r="G41" s="225">
        <v>1082.367</v>
      </c>
      <c r="H41" s="225"/>
      <c r="I41" s="225">
        <v>1036.8690000000001</v>
      </c>
      <c r="J41" s="226">
        <v>2462.3100000000004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629.295</v>
      </c>
      <c r="G42" s="225">
        <v>0</v>
      </c>
      <c r="H42" s="225"/>
      <c r="I42" s="225">
        <v>510.866</v>
      </c>
      <c r="J42" s="226">
        <v>118.429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838</v>
      </c>
      <c r="E43" s="153" t="s">
        <v>770</v>
      </c>
      <c r="F43" s="224">
        <f>SUM(G43:J43)</f>
        <v>558.539</v>
      </c>
      <c r="G43" s="225"/>
      <c r="H43" s="225"/>
      <c r="I43" s="225">
        <v>558.539</v>
      </c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4546.6900000000005</v>
      </c>
      <c r="G45" s="224">
        <f>SUM(G46:G50)</f>
        <v>3495.885</v>
      </c>
      <c r="H45" s="224">
        <f>SUM(H46:H50)</f>
        <v>0</v>
      </c>
      <c r="I45" s="224">
        <f>SUM(I46:I50)</f>
        <v>1050.805</v>
      </c>
      <c r="J45" s="227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4200.1810000000005</v>
      </c>
      <c r="G47" s="225">
        <v>3495.885</v>
      </c>
      <c r="H47" s="225"/>
      <c r="I47" s="225">
        <v>704.296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16.189</v>
      </c>
      <c r="G48" s="225"/>
      <c r="H48" s="225"/>
      <c r="I48" s="225">
        <v>16.189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702</v>
      </c>
      <c r="F49" s="224">
        <f>SUM(G49:J49)</f>
        <v>330.32</v>
      </c>
      <c r="G49" s="225"/>
      <c r="H49" s="225"/>
      <c r="I49" s="225">
        <v>330.32</v>
      </c>
      <c r="J49" s="226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4">
        <f>SUM(G51:J51)</f>
        <v>0</v>
      </c>
      <c r="G51" s="224">
        <f>SUM(G52:G53)</f>
        <v>0</v>
      </c>
      <c r="H51" s="224">
        <f>SUM(H52:H53)</f>
        <v>0</v>
      </c>
      <c r="I51" s="224">
        <f>SUM(I52:I53)</f>
        <v>0</v>
      </c>
      <c r="J51" s="227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8">
        <f>SUM(G54:J54)</f>
        <v>0</v>
      </c>
      <c r="G54" s="228">
        <f>SUM(G55:G56)</f>
        <v>0</v>
      </c>
      <c r="H54" s="228">
        <f>SUM(H55:H56)</f>
        <v>0</v>
      </c>
      <c r="I54" s="228">
        <f>SUM(I55:I56)</f>
        <v>0</v>
      </c>
      <c r="J54" s="227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4">
        <f>SUM(G57:J57)</f>
        <v>0</v>
      </c>
      <c r="G57" s="224">
        <f>SUM(G58:G59)</f>
        <v>0</v>
      </c>
      <c r="H57" s="224">
        <f>SUM(H58:H59)</f>
        <v>0</v>
      </c>
      <c r="I57" s="224">
        <f>SUM(I58:I59)</f>
        <v>0</v>
      </c>
      <c r="J57" s="227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4">
        <f>SUM(G60:I60)</f>
        <v>6829.678999999999</v>
      </c>
      <c r="G60" s="228">
        <f>SUM(G34:J34)</f>
        <v>3939.173</v>
      </c>
      <c r="H60" s="228">
        <f>SUM(G35:J35)</f>
        <v>0</v>
      </c>
      <c r="I60" s="228">
        <f>SUM(G36:J36)</f>
        <v>2890.5059999999994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4">
        <f>SUM(G61:J61)</f>
        <v>0</v>
      </c>
      <c r="G61" s="225"/>
      <c r="H61" s="225"/>
      <c r="I61" s="225"/>
      <c r="J61" s="226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4">
        <f aca="true" t="shared" si="0" ref="F63:F69">SUM(G63:J63)</f>
        <v>769.9269999999999</v>
      </c>
      <c r="G63" s="228">
        <f>SUM(G64:G65)</f>
        <v>174.45</v>
      </c>
      <c r="H63" s="228">
        <f>SUM(H64:H65)</f>
        <v>0</v>
      </c>
      <c r="I63" s="228">
        <f>SUM(I64:I65)</f>
        <v>285.71</v>
      </c>
      <c r="J63" s="227">
        <f>SUM(J64:J65)</f>
        <v>309.767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4">
        <f t="shared" si="0"/>
        <v>0</v>
      </c>
      <c r="G64" s="225"/>
      <c r="H64" s="225"/>
      <c r="I64" s="225"/>
      <c r="J64" s="226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4">
        <f t="shared" si="0"/>
        <v>769.9269999999999</v>
      </c>
      <c r="G65" s="225">
        <v>174.45</v>
      </c>
      <c r="H65" s="225"/>
      <c r="I65" s="225">
        <v>285.71</v>
      </c>
      <c r="J65" s="226">
        <v>309.767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0">
        <f t="shared" si="0"/>
        <v>-1.1937117960769683E-12</v>
      </c>
      <c r="G69" s="231">
        <f>G18-G38-G60-G61-G63+G67-G68</f>
        <v>-1.7053025658242404E-13</v>
      </c>
      <c r="H69" s="231">
        <f>H18+H33-H38-H60-H61-H63+H67-H68</f>
        <v>0</v>
      </c>
      <c r="I69" s="231">
        <f>I18+I33-I38-I60-I61-I63+I67-I68</f>
        <v>5.684341886080802E-14</v>
      </c>
      <c r="J69" s="232">
        <f>J18+J33-J38-J61-J63+J67-J68</f>
        <v>-1.0800249583553523E-12</v>
      </c>
      <c r="K69" s="104"/>
    </row>
    <row r="70" spans="1:11" ht="18" customHeight="1" thickBot="1">
      <c r="A70" s="127"/>
      <c r="B70" s="128"/>
      <c r="C70" s="103"/>
      <c r="D70" s="275" t="s">
        <v>158</v>
      </c>
      <c r="E70" s="276"/>
      <c r="F70" s="276"/>
      <c r="G70" s="276"/>
      <c r="H70" s="276"/>
      <c r="I70" s="276"/>
      <c r="J70" s="277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1">
        <f>SUM(G71:J71)</f>
        <v>19.621233628318585</v>
      </c>
      <c r="G71" s="222">
        <f>SUM(G72,G73,G81,G85)</f>
        <v>15.383849557522124</v>
      </c>
      <c r="H71" s="222">
        <f>SUM(H72,H73,H81,H85)</f>
        <v>0</v>
      </c>
      <c r="I71" s="222">
        <f>SUM(I72,I73,I81,I85)</f>
        <v>4.237384070796461</v>
      </c>
      <c r="J71" s="223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4">
        <f>SUM(G72:J72)</f>
        <v>0</v>
      </c>
      <c r="G72" s="225"/>
      <c r="H72" s="225"/>
      <c r="I72" s="225"/>
      <c r="J72" s="226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4">
        <f>SUM(G73:J73)</f>
        <v>16.610159292035398</v>
      </c>
      <c r="G73" s="224">
        <f>SUM(G74:G80)</f>
        <v>12.477373451327434</v>
      </c>
      <c r="H73" s="224">
        <f>SUM(H74:H80)</f>
        <v>0</v>
      </c>
      <c r="I73" s="224">
        <f>SUM(I74:I80)</f>
        <v>4.132785840707965</v>
      </c>
      <c r="J73" s="227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824</v>
      </c>
      <c r="E75" s="220" t="str">
        <f>IF('46 - передача'!$E$22="","",'46 - передача'!$E$22)</f>
        <v>АО "Россети Тюмень"</v>
      </c>
      <c r="F75" s="224">
        <f>SUM(G75:J75)</f>
        <v>13.027709734513275</v>
      </c>
      <c r="G75" s="225">
        <f aca="true" t="shared" si="1" ref="G75:J79">G22/565</f>
        <v>12.477373451327434</v>
      </c>
      <c r="H75" s="225">
        <f t="shared" si="1"/>
        <v>0</v>
      </c>
      <c r="I75" s="225">
        <f t="shared" si="1"/>
        <v>0.5503362831858407</v>
      </c>
      <c r="J75" s="225">
        <f t="shared" si="1"/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825</v>
      </c>
      <c r="E76" s="220" t="str">
        <f>IF('46 - передача'!$E$23="","",'46 - передача'!$E$23)</f>
        <v>ООО "Ремэнергостройсервис"</v>
      </c>
      <c r="F76" s="224">
        <f>SUM(G76:J76)</f>
        <v>0.14281238938053095</v>
      </c>
      <c r="G76" s="225">
        <f t="shared" si="1"/>
        <v>0</v>
      </c>
      <c r="H76" s="225">
        <f t="shared" si="1"/>
        <v>0</v>
      </c>
      <c r="I76" s="225">
        <f t="shared" si="1"/>
        <v>0.14281238938053095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826</v>
      </c>
      <c r="E77" s="220" t="str">
        <f>IF('46 - передача'!$E$24="","",'46 - передача'!$E$24)</f>
        <v>АО "СУЭНКО"</v>
      </c>
      <c r="F77" s="224">
        <f>SUM(G77:J77)</f>
        <v>2.5372460176991147</v>
      </c>
      <c r="G77" s="225">
        <f t="shared" si="1"/>
        <v>0</v>
      </c>
      <c r="H77" s="225">
        <f t="shared" si="1"/>
        <v>0</v>
      </c>
      <c r="I77" s="225">
        <f t="shared" si="1"/>
        <v>2.5372460176991147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827</v>
      </c>
      <c r="E78" s="220" t="str">
        <f>IF('46 - передача'!$E$25="","",'46 - передача'!$E$25)</f>
        <v>ООО "Дорстрой"</v>
      </c>
      <c r="F78" s="224">
        <f>SUM(G78:J78)</f>
        <v>0.3590920353982301</v>
      </c>
      <c r="G78" s="225">
        <f t="shared" si="1"/>
        <v>0</v>
      </c>
      <c r="H78" s="225">
        <f t="shared" si="1"/>
        <v>0</v>
      </c>
      <c r="I78" s="225">
        <f t="shared" si="1"/>
        <v>0.3590920353982301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828</v>
      </c>
      <c r="E79" s="220" t="str">
        <f>IF('46 - передача'!$E$26="","",'46 - передача'!$E$26)</f>
        <v>ООО "Газпром энерго"</v>
      </c>
      <c r="F79" s="224">
        <f>SUM(G79:J79)</f>
        <v>0.5432991150442478</v>
      </c>
      <c r="G79" s="225">
        <f t="shared" si="1"/>
        <v>0</v>
      </c>
      <c r="H79" s="225">
        <f t="shared" si="1"/>
        <v>0</v>
      </c>
      <c r="I79" s="225">
        <f t="shared" si="1"/>
        <v>0.5432991150442478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4">
        <f>SUM(G81:J81)</f>
        <v>3.011074336283186</v>
      </c>
      <c r="G81" s="224">
        <f>SUM(G82:G84)</f>
        <v>2.9064761061946904</v>
      </c>
      <c r="H81" s="224">
        <f>SUM(H82:H84)</f>
        <v>0</v>
      </c>
      <c r="I81" s="224">
        <f>SUM(I82:I84)</f>
        <v>0.10459823008849557</v>
      </c>
      <c r="J81" s="227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9" t="s">
        <v>823</v>
      </c>
      <c r="D83" s="111" t="s">
        <v>829</v>
      </c>
      <c r="E83" s="220" t="str">
        <f>IF('46 - передача'!$E$30="","",'46 - передача'!$E$30)</f>
        <v>ОАО "Фортум" (Тюменская ТЭЦ-1)</v>
      </c>
      <c r="F83" s="224">
        <f>SUM(G83:J83)</f>
        <v>3.011074336283186</v>
      </c>
      <c r="G83" s="225">
        <f>G30/565</f>
        <v>2.9064761061946904</v>
      </c>
      <c r="H83" s="225">
        <f>H30/565</f>
        <v>0</v>
      </c>
      <c r="I83" s="225">
        <f>I30/565</f>
        <v>0.10459823008849557</v>
      </c>
      <c r="J83" s="225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4">
        <f>SUM(G85:J85)</f>
        <v>0</v>
      </c>
      <c r="G85" s="225"/>
      <c r="H85" s="225"/>
      <c r="I85" s="225"/>
      <c r="J85" s="226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4">
        <f>SUM(H86:J86)</f>
        <v>12.08792743362832</v>
      </c>
      <c r="G86" s="145"/>
      <c r="H86" s="228">
        <f>H87</f>
        <v>0</v>
      </c>
      <c r="I86" s="228">
        <f>I87+I88</f>
        <v>6.971987610619469</v>
      </c>
      <c r="J86" s="227">
        <f>J87+J88+J89</f>
        <v>5.115939823008851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4">
        <f>SUM(H87:J87)</f>
        <v>6.971987610619469</v>
      </c>
      <c r="G87" s="145"/>
      <c r="H87" s="225"/>
      <c r="I87" s="225">
        <f>G71-G91-G116</f>
        <v>6.971987610619469</v>
      </c>
      <c r="J87" s="226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4">
        <f>SUM(I88:J88)</f>
        <v>0</v>
      </c>
      <c r="G88" s="145"/>
      <c r="H88" s="145"/>
      <c r="I88" s="225"/>
      <c r="J88" s="226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4">
        <f>SUM(J89)</f>
        <v>5.115939823008851</v>
      </c>
      <c r="G89" s="145"/>
      <c r="H89" s="145"/>
      <c r="I89" s="145"/>
      <c r="J89" s="226">
        <f>I86+I71-I91-I116</f>
        <v>5.115939823008851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4">
        <f>SUM(G91:J91)</f>
        <v>18.25853097345133</v>
      </c>
      <c r="G91" s="228">
        <f>SUM(G92,G98,G104,G107,G110)</f>
        <v>8.103100884955753</v>
      </c>
      <c r="H91" s="228">
        <f>SUM(H92,H98,H104,H107,H110)</f>
        <v>0</v>
      </c>
      <c r="I91" s="228">
        <f>SUM(I92,I98,I104,I107,I110)</f>
        <v>5.587750442477876</v>
      </c>
      <c r="J91" s="227">
        <f>SUM(J92,J98,J104,J107,J110)</f>
        <v>4.5676796460177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4">
        <f>SUM(G92:J92)</f>
        <v>10.21129203539823</v>
      </c>
      <c r="G92" s="224">
        <f>SUM(G93:G97)</f>
        <v>1.9156938053097345</v>
      </c>
      <c r="H92" s="224">
        <f>SUM(H93:H97)</f>
        <v>0</v>
      </c>
      <c r="I92" s="224">
        <f>SUM(I93:I97)</f>
        <v>3.7279185840707965</v>
      </c>
      <c r="J92" s="227">
        <f>SUM(J93:J97)</f>
        <v>4.5676796460177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830</v>
      </c>
      <c r="E94" s="220" t="str">
        <f>IF('46 - передача'!$E$41="","",'46 - передача'!$E$41)</f>
        <v>АО "Газпром энергосбыт Тюмень"</v>
      </c>
      <c r="F94" s="224">
        <f>SUM(G94:J94)</f>
        <v>8.10893097345133</v>
      </c>
      <c r="G94" s="225">
        <f aca="true" t="shared" si="2" ref="G94:J96">G41/565</f>
        <v>1.9156938053097345</v>
      </c>
      <c r="H94" s="225">
        <f t="shared" si="2"/>
        <v>0</v>
      </c>
      <c r="I94" s="225">
        <f t="shared" si="2"/>
        <v>1.8351663716814162</v>
      </c>
      <c r="J94" s="225">
        <f t="shared" si="2"/>
        <v>4.3580707964601775</v>
      </c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831</v>
      </c>
      <c r="E95" s="220" t="str">
        <f>IF('46 - передача'!$E$42="","",'46 - передача'!$E$42)</f>
        <v>АО "Энергосбытовая компания "Восток"</v>
      </c>
      <c r="F95" s="224">
        <f>SUM(G95:J95)</f>
        <v>1.113796460176991</v>
      </c>
      <c r="G95" s="225">
        <f t="shared" si="2"/>
        <v>0</v>
      </c>
      <c r="H95" s="225">
        <f t="shared" si="2"/>
        <v>0</v>
      </c>
      <c r="I95" s="225">
        <f t="shared" si="2"/>
        <v>0.904187610619469</v>
      </c>
      <c r="J95" s="225">
        <f t="shared" si="2"/>
        <v>0.20960884955752213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838</v>
      </c>
      <c r="E96" s="220" t="str">
        <f>IF('46 - передача'!$E$43="","",'46 - передача'!$E$43)</f>
        <v>ООО "Энергокомплекс"</v>
      </c>
      <c r="F96" s="224">
        <f>SUM(G96:J96)</f>
        <v>0.9885646017699115</v>
      </c>
      <c r="G96" s="225">
        <f t="shared" si="2"/>
        <v>0</v>
      </c>
      <c r="H96" s="225">
        <f t="shared" si="2"/>
        <v>0</v>
      </c>
      <c r="I96" s="225">
        <f t="shared" si="2"/>
        <v>0.9885646017699115</v>
      </c>
      <c r="J96" s="226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8.047238938053098</v>
      </c>
      <c r="G98" s="224">
        <f>SUM(G99:G103)</f>
        <v>6.187407079646018</v>
      </c>
      <c r="H98" s="224">
        <f>SUM(H99:H103)</f>
        <v>0</v>
      </c>
      <c r="I98" s="224">
        <f>SUM(I99:I103)</f>
        <v>1.8598318584070797</v>
      </c>
      <c r="J98" s="227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передача'!$E$47="","",'46 - передача'!$E$47)</f>
        <v>АО "СУЭНКО"</v>
      </c>
      <c r="F100" s="224">
        <f>SUM(G100:J100)</f>
        <v>7.433948672566372</v>
      </c>
      <c r="G100" s="225">
        <f aca="true" t="shared" si="3" ref="G100:J102">G47/565</f>
        <v>6.187407079646018</v>
      </c>
      <c r="H100" s="225">
        <f t="shared" si="3"/>
        <v>0</v>
      </c>
      <c r="I100" s="225">
        <f t="shared" si="3"/>
        <v>1.246541592920354</v>
      </c>
      <c r="J100" s="225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передача'!$E$48="","",'46 - передача'!$E$48)</f>
        <v>ООО " Тюменская электросетевая компания"</v>
      </c>
      <c r="F101" s="224">
        <f>SUM(G101:J101)</f>
        <v>0.028653097345132744</v>
      </c>
      <c r="G101" s="225">
        <f t="shared" si="3"/>
        <v>0</v>
      </c>
      <c r="H101" s="225">
        <f t="shared" si="3"/>
        <v>0</v>
      </c>
      <c r="I101" s="225">
        <f t="shared" si="3"/>
        <v>0.028653097345132744</v>
      </c>
      <c r="J101" s="225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передача'!$E$49="","",'46 - передача'!$E$49)</f>
        <v>ООО "Региональная энергетическая компания"</v>
      </c>
      <c r="F102" s="224">
        <f>SUM(G102:J102)</f>
        <v>0.5846371681415929</v>
      </c>
      <c r="G102" s="225">
        <f t="shared" si="3"/>
        <v>0</v>
      </c>
      <c r="H102" s="225">
        <f t="shared" si="3"/>
        <v>0</v>
      </c>
      <c r="I102" s="225">
        <f t="shared" si="3"/>
        <v>0.5846371681415929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4">
        <f>SUM(G104:J104)</f>
        <v>0</v>
      </c>
      <c r="G104" s="224">
        <f>SUM(G105:G106)</f>
        <v>0</v>
      </c>
      <c r="H104" s="224">
        <f>SUM(H105:H106)</f>
        <v>0</v>
      </c>
      <c r="I104" s="224">
        <f>SUM(I105:I106)</f>
        <v>0</v>
      </c>
      <c r="J104" s="227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8">
        <f>SUM(G107:J107)</f>
        <v>0</v>
      </c>
      <c r="G107" s="228">
        <f>SUM(G108:G109)</f>
        <v>0</v>
      </c>
      <c r="H107" s="228">
        <f>SUM(H108:H109)</f>
        <v>0</v>
      </c>
      <c r="I107" s="228">
        <f>SUM(I108:I109)</f>
        <v>0</v>
      </c>
      <c r="J107" s="227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4">
        <f>SUM(G113:I113)</f>
        <v>12.08792743362832</v>
      </c>
      <c r="G113" s="228">
        <f>SUM(G87:J87)</f>
        <v>6.971987610619469</v>
      </c>
      <c r="H113" s="228">
        <f>SUM(G88:J88)</f>
        <v>0</v>
      </c>
      <c r="I113" s="228">
        <f>SUM(G89:J89)</f>
        <v>5.115939823008851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4">
        <f aca="true" t="shared" si="4" ref="F114:F122">SUM(G114:J114)</f>
        <v>0</v>
      </c>
      <c r="G114" s="225"/>
      <c r="H114" s="225"/>
      <c r="I114" s="225"/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4">
        <f>SUM(G116:J116)</f>
        <v>1.3627026548672565</v>
      </c>
      <c r="G116" s="228">
        <f>SUM(G117:G118)</f>
        <v>0.3087610619469026</v>
      </c>
      <c r="H116" s="228">
        <f>SUM(H117:H118)</f>
        <v>0</v>
      </c>
      <c r="I116" s="228">
        <f>SUM(I117:I118)</f>
        <v>0.5056814159292035</v>
      </c>
      <c r="J116" s="227">
        <f>SUM(J117:J118)</f>
        <v>0.5482601769911505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4">
        <f t="shared" si="4"/>
        <v>0</v>
      </c>
      <c r="G117" s="225"/>
      <c r="H117" s="225"/>
      <c r="I117" s="225"/>
      <c r="J117" s="226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4">
        <f t="shared" si="4"/>
        <v>1.3627026548672565</v>
      </c>
      <c r="G118" s="225">
        <f>G65/565</f>
        <v>0.3087610619469026</v>
      </c>
      <c r="H118" s="225">
        <f>H65/565</f>
        <v>0</v>
      </c>
      <c r="I118" s="225">
        <f>I65/565</f>
        <v>0.5056814159292035</v>
      </c>
      <c r="J118" s="225">
        <f>J65/565</f>
        <v>0.5482601769911505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4">
        <f t="shared" si="4"/>
        <v>0</v>
      </c>
      <c r="G120" s="225"/>
      <c r="H120" s="225"/>
      <c r="I120" s="225"/>
      <c r="J120" s="226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3">
        <f t="shared" si="4"/>
        <v>3.885780586188048E-16</v>
      </c>
      <c r="G122" s="234">
        <f>G71-G91-G113-G114-G116+G120-G121</f>
        <v>-2.7755575615628914E-16</v>
      </c>
      <c r="H122" s="234">
        <f>H71+H86-H91-H113-H114-H116+H120-H121</f>
        <v>0</v>
      </c>
      <c r="I122" s="234">
        <f>I71+I86-I91-I113-I114-I116+I120-I121</f>
        <v>-3.3306690738754696E-16</v>
      </c>
      <c r="J122" s="235">
        <f>J71+J86-J91-J114-J116+J120-J121</f>
        <v>9.992007221626409E-16</v>
      </c>
      <c r="K122" s="104"/>
    </row>
    <row r="123" spans="1:11" ht="18" customHeight="1" thickBot="1">
      <c r="A123" s="127"/>
      <c r="B123" s="128"/>
      <c r="C123" s="103"/>
      <c r="D123" s="281" t="s">
        <v>185</v>
      </c>
      <c r="E123" s="282"/>
      <c r="F123" s="282"/>
      <c r="G123" s="282"/>
      <c r="H123" s="282"/>
      <c r="I123" s="282"/>
      <c r="J123" s="283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6">
        <f>SUM(G124:J124)</f>
        <v>10.21129203539823</v>
      </c>
      <c r="G124" s="225">
        <f>G92</f>
        <v>1.9156938053097345</v>
      </c>
      <c r="H124" s="225">
        <f>H92</f>
        <v>0</v>
      </c>
      <c r="I124" s="225">
        <f>I92</f>
        <v>3.7279185840707965</v>
      </c>
      <c r="J124" s="225">
        <f>J92</f>
        <v>4.5676796460177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4">
        <f>SUM(G125:J125)</f>
        <v>0</v>
      </c>
      <c r="G125" s="225"/>
      <c r="H125" s="225"/>
      <c r="I125" s="225"/>
      <c r="J125" s="226"/>
      <c r="K125" s="104"/>
    </row>
    <row r="126" spans="1:11" ht="18" customHeight="1" thickBot="1">
      <c r="A126" s="127"/>
      <c r="B126" s="128"/>
      <c r="C126" s="103"/>
      <c r="D126" s="275" t="s">
        <v>205</v>
      </c>
      <c r="E126" s="276"/>
      <c r="F126" s="276"/>
      <c r="G126" s="276"/>
      <c r="H126" s="276"/>
      <c r="I126" s="276"/>
      <c r="J126" s="277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2">
        <f>SUM(G127:J127)</f>
        <v>9375.41586514</v>
      </c>
      <c r="G127" s="237">
        <f>SUM(G128,G134,G137)</f>
        <v>1598.5170528</v>
      </c>
      <c r="H127" s="237">
        <f>SUM(H128,H134,H137)</f>
        <v>0</v>
      </c>
      <c r="I127" s="237">
        <f>SUM(I128,I134,I137)</f>
        <v>5169.32197494</v>
      </c>
      <c r="J127" s="238">
        <f>SUM(J128,J134,J137)</f>
        <v>2607.5768373999995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8">
        <f>SUM(G128:J128)</f>
        <v>9375.41586514</v>
      </c>
      <c r="G128" s="228">
        <f>SUM(G129:G133)</f>
        <v>1598.5170528</v>
      </c>
      <c r="H128" s="228">
        <f>SUM(H129:H133)</f>
        <v>0</v>
      </c>
      <c r="I128" s="228">
        <f>SUM(I129:I133)</f>
        <v>5169.32197494</v>
      </c>
      <c r="J128" s="227">
        <f>SUM(J129:J133)</f>
        <v>2607.5768373999995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8" t="s">
        <v>823</v>
      </c>
      <c r="D130" s="111" t="s">
        <v>835</v>
      </c>
      <c r="E130" s="153" t="s">
        <v>739</v>
      </c>
      <c r="F130" s="224">
        <f>SUM(G130:J130)</f>
        <v>6623.970497089999</v>
      </c>
      <c r="G130" s="225">
        <v>1598.5170528</v>
      </c>
      <c r="H130" s="225">
        <v>0</v>
      </c>
      <c r="I130" s="225">
        <v>2462.81860987</v>
      </c>
      <c r="J130" s="225">
        <v>2562.6348344199996</v>
      </c>
      <c r="K130" s="149"/>
    </row>
    <row r="131" spans="1:11" s="172" customFormat="1" ht="15" customHeight="1">
      <c r="A131" s="147"/>
      <c r="B131" s="129"/>
      <c r="C131" s="218" t="s">
        <v>823</v>
      </c>
      <c r="D131" s="111" t="s">
        <v>836</v>
      </c>
      <c r="E131" s="153" t="s">
        <v>362</v>
      </c>
      <c r="F131" s="224">
        <f>SUM(G131:J131)</f>
        <v>1314.4055672900001</v>
      </c>
      <c r="G131" s="225">
        <v>0</v>
      </c>
      <c r="H131" s="225">
        <v>0</v>
      </c>
      <c r="I131" s="225">
        <v>1269.46356431</v>
      </c>
      <c r="J131" s="226">
        <v>44.94200298</v>
      </c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839</v>
      </c>
      <c r="E132" s="153" t="s">
        <v>770</v>
      </c>
      <c r="F132" s="224">
        <f>SUM(G132:J132)</f>
        <v>1437.03980076</v>
      </c>
      <c r="G132" s="225"/>
      <c r="H132" s="225"/>
      <c r="I132" s="225">
        <v>1437.03980076</v>
      </c>
      <c r="J132" s="226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28">
        <f>SUM(G134:J134)</f>
        <v>0</v>
      </c>
      <c r="G134" s="228">
        <f>SUM(G135:G136)</f>
        <v>0</v>
      </c>
      <c r="H134" s="228">
        <f>SUM(H135:H136)</f>
        <v>0</v>
      </c>
      <c r="I134" s="228">
        <f>SUM(I135:I136)</f>
        <v>0</v>
      </c>
      <c r="J134" s="227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28">
        <f>SUM(G137:J137)</f>
        <v>0</v>
      </c>
      <c r="G137" s="228">
        <f>SUM(G138:G139)</f>
        <v>0</v>
      </c>
      <c r="H137" s="228">
        <f>SUM(H138:H139)</f>
        <v>0</v>
      </c>
      <c r="I137" s="228">
        <f>SUM(I138:I139)</f>
        <v>0</v>
      </c>
      <c r="J137" s="227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5" t="s">
        <v>208</v>
      </c>
      <c r="E140" s="276"/>
      <c r="F140" s="276"/>
      <c r="G140" s="276"/>
      <c r="H140" s="276"/>
      <c r="I140" s="276"/>
      <c r="J140" s="277"/>
      <c r="K140" s="149"/>
    </row>
    <row r="141" spans="1:11" s="172" customFormat="1" ht="23.25" customHeight="1">
      <c r="A141" s="129"/>
      <c r="B141" s="129"/>
      <c r="C141" s="148"/>
      <c r="D141" s="111" t="s">
        <v>138</v>
      </c>
      <c r="E141" s="144" t="s">
        <v>141</v>
      </c>
      <c r="F141" s="228">
        <f>SUM(G141:J141)</f>
        <v>3619.0873420800003</v>
      </c>
      <c r="G141" s="224">
        <f>SUM(G142:G144)</f>
        <v>3466.20436288</v>
      </c>
      <c r="H141" s="224">
        <f>SUM(H142:H144)</f>
        <v>0</v>
      </c>
      <c r="I141" s="224">
        <f>SUM(I142:I144)</f>
        <v>152.8829792</v>
      </c>
      <c r="J141" s="227">
        <f>SUM(J142:J144)</f>
        <v>0</v>
      </c>
      <c r="K141" s="149"/>
    </row>
    <row r="142" spans="1:11" s="172" customFormat="1" ht="13.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218" t="s">
        <v>823</v>
      </c>
      <c r="D143" s="111" t="s">
        <v>166</v>
      </c>
      <c r="E143" s="153" t="s">
        <v>782</v>
      </c>
      <c r="F143" s="224">
        <f>SUM(G143:J143)</f>
        <v>3619.0873420800003</v>
      </c>
      <c r="G143" s="225">
        <v>3466.20436288</v>
      </c>
      <c r="H143" s="225"/>
      <c r="I143" s="225">
        <v>152.8829792</v>
      </c>
      <c r="J143" s="226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10000.408762109997</v>
      </c>
      <c r="G146" s="221">
        <f>SUM(G147,G153,G156)</f>
        <v>1767.98155248</v>
      </c>
      <c r="H146" s="221">
        <f>SUM(H147,H153,H156)</f>
        <v>0</v>
      </c>
      <c r="I146" s="221">
        <f>SUM(I147,I153,I156)</f>
        <v>5714.764061679999</v>
      </c>
      <c r="J146" s="223">
        <f>SUM(J147,J153,J156)</f>
        <v>2517.6631479499993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10000.408762109997</v>
      </c>
      <c r="G147" s="228">
        <f>SUM(G148:G152)</f>
        <v>1767.98155248</v>
      </c>
      <c r="H147" s="228">
        <f>SUM(H148:H152)</f>
        <v>0</v>
      </c>
      <c r="I147" s="228">
        <f>SUM(I148:I152)</f>
        <v>5714.764061679999</v>
      </c>
      <c r="J147" s="227">
        <f>SUM(J148:J152)</f>
        <v>2517.6631479499993</v>
      </c>
      <c r="K147" s="149"/>
    </row>
    <row r="148" spans="1:11" s="172" customFormat="1" ht="1.5" customHeight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835</v>
      </c>
      <c r="E149" s="220" t="str">
        <f>IF('46 - передача'!$E$130="","",'46 - передача'!$E$130)</f>
        <v>АО "Газпром энергосбыт Тюмень"</v>
      </c>
      <c r="F149" s="224">
        <f>SUM(G149:J149)</f>
        <v>7031.4662512899995</v>
      </c>
      <c r="G149" s="225">
        <v>1767.98155248</v>
      </c>
      <c r="H149" s="225">
        <f>H128</f>
        <v>0</v>
      </c>
      <c r="I149" s="225">
        <v>2788.1947506599995</v>
      </c>
      <c r="J149" s="225">
        <v>2475.2899481499994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836</v>
      </c>
      <c r="E150" s="220" t="str">
        <f>IF('46 - передача'!$E$131="","",'46 - передача'!$E$131)</f>
        <v>АО "Энергосбытовая компания "Восток"</v>
      </c>
      <c r="F150" s="224">
        <f>SUM(G150:J150)</f>
        <v>1372.43138939</v>
      </c>
      <c r="G150" s="225">
        <v>0</v>
      </c>
      <c r="H150" s="225">
        <v>0</v>
      </c>
      <c r="I150" s="225">
        <v>1330.05818959</v>
      </c>
      <c r="J150" s="225">
        <v>42.3731998</v>
      </c>
      <c r="K150" s="149"/>
    </row>
    <row r="151" spans="1:11" s="172" customFormat="1" ht="15" customHeight="1">
      <c r="A151" s="147"/>
      <c r="B151" s="129"/>
      <c r="C151" s="219" t="s">
        <v>823</v>
      </c>
      <c r="D151" s="111" t="s">
        <v>839</v>
      </c>
      <c r="E151" s="220" t="str">
        <f>IF('46 - передача'!$E$132="","",'46 - передача'!$E$132)</f>
        <v>ООО "Энергокомплекс"</v>
      </c>
      <c r="F151" s="224">
        <f>SUM(G151:J151)</f>
        <v>1596.5111214299998</v>
      </c>
      <c r="G151" s="225"/>
      <c r="H151" s="225"/>
      <c r="I151" s="225">
        <v>1596.5111214299998</v>
      </c>
      <c r="J151" s="226"/>
      <c r="K151" s="149"/>
    </row>
    <row r="152" spans="3:11" ht="15" customHeight="1">
      <c r="C152" s="148"/>
      <c r="D152" s="156"/>
      <c r="E152" s="206" t="s">
        <v>197</v>
      </c>
      <c r="F152" s="152"/>
      <c r="G152" s="152"/>
      <c r="H152" s="152"/>
      <c r="I152" s="152"/>
      <c r="J152" s="157"/>
      <c r="K152" s="149"/>
    </row>
    <row r="153" spans="3:11" ht="24" customHeight="1">
      <c r="C153" s="148"/>
      <c r="D153" s="111" t="s">
        <v>167</v>
      </c>
      <c r="E153" s="175" t="s">
        <v>213</v>
      </c>
      <c r="F153" s="228">
        <f>SUM(G153:J153)</f>
        <v>0</v>
      </c>
      <c r="G153" s="228">
        <f>SUM(G154:G155)</f>
        <v>0</v>
      </c>
      <c r="H153" s="228">
        <f>SUM(H154:H155)</f>
        <v>0</v>
      </c>
      <c r="I153" s="228">
        <f>SUM(I154:I155)</f>
        <v>0</v>
      </c>
      <c r="J153" s="227">
        <f>SUM(J154:J155)</f>
        <v>0</v>
      </c>
      <c r="K153" s="149"/>
    </row>
    <row r="154" spans="1:11" s="172" customFormat="1" ht="15" customHeight="1" hidden="1">
      <c r="A154" s="147"/>
      <c r="B154" s="129"/>
      <c r="C154" s="148"/>
      <c r="D154" s="154" t="s">
        <v>189</v>
      </c>
      <c r="E154" s="150"/>
      <c r="F154" s="150"/>
      <c r="G154" s="150"/>
      <c r="H154" s="150"/>
      <c r="I154" s="150"/>
      <c r="J154" s="155"/>
      <c r="K154" s="149"/>
    </row>
    <row r="155" spans="3:11" ht="15" customHeight="1">
      <c r="C155" s="148"/>
      <c r="D155" s="176"/>
      <c r="E155" s="206" t="s">
        <v>196</v>
      </c>
      <c r="F155" s="177"/>
      <c r="G155" s="177"/>
      <c r="H155" s="177"/>
      <c r="I155" s="177"/>
      <c r="J155" s="178"/>
      <c r="K155" s="149"/>
    </row>
    <row r="156" spans="3:11" ht="24" customHeight="1">
      <c r="C156" s="148"/>
      <c r="D156" s="111" t="s">
        <v>168</v>
      </c>
      <c r="E156" s="175" t="s">
        <v>207</v>
      </c>
      <c r="F156" s="228">
        <f>SUM(G156:J156)</f>
        <v>0</v>
      </c>
      <c r="G156" s="228">
        <f>SUM(G157:G158)</f>
        <v>0</v>
      </c>
      <c r="H156" s="228">
        <f>SUM(H157:H158)</f>
        <v>0</v>
      </c>
      <c r="I156" s="228">
        <f>SUM(I157:I158)</f>
        <v>0</v>
      </c>
      <c r="J156" s="227">
        <f>SUM(J157:J158)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190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83"/>
      <c r="E158" s="206" t="s">
        <v>210</v>
      </c>
      <c r="F158" s="184"/>
      <c r="G158" s="184"/>
      <c r="H158" s="184"/>
      <c r="I158" s="184"/>
      <c r="J158" s="185"/>
      <c r="K158" s="149"/>
    </row>
    <row r="159" spans="1:11" ht="15.75" customHeight="1">
      <c r="A159" s="127"/>
      <c r="B159" s="128"/>
      <c r="C159" s="103"/>
      <c r="D159" s="202"/>
      <c r="E159" s="203"/>
      <c r="F159" s="204"/>
      <c r="G159" s="205"/>
      <c r="H159" s="205"/>
      <c r="I159" s="205"/>
      <c r="J159" s="208"/>
      <c r="K159" s="104"/>
    </row>
    <row r="160" spans="3:11" ht="30.75" customHeight="1">
      <c r="C160" s="148"/>
      <c r="D160" s="111" t="s">
        <v>137</v>
      </c>
      <c r="E160" s="144" t="s">
        <v>202</v>
      </c>
      <c r="F160" s="228">
        <f>SUM(G160:J160)</f>
        <v>3619.0873420800003</v>
      </c>
      <c r="G160" s="228">
        <f>SUM(G161:G163)</f>
        <v>3466.20436288</v>
      </c>
      <c r="H160" s="228">
        <f>SUM(H161:H163)</f>
        <v>0</v>
      </c>
      <c r="I160" s="228">
        <f>SUM(I161:I163)</f>
        <v>152.8829792</v>
      </c>
      <c r="J160" s="227">
        <f>SUM(J161:J163)</f>
        <v>0</v>
      </c>
      <c r="K160" s="149"/>
    </row>
    <row r="161" spans="1:11" s="172" customFormat="1" ht="18" customHeight="1">
      <c r="A161" s="147"/>
      <c r="B161" s="129"/>
      <c r="C161" s="148"/>
      <c r="D161" s="154" t="s">
        <v>201</v>
      </c>
      <c r="E161" s="150"/>
      <c r="F161" s="150"/>
      <c r="G161" s="150"/>
      <c r="H161" s="150"/>
      <c r="I161" s="150"/>
      <c r="J161" s="155"/>
      <c r="K161" s="149"/>
    </row>
    <row r="162" spans="1:11" s="172" customFormat="1" ht="15" customHeight="1">
      <c r="A162" s="147"/>
      <c r="B162" s="129"/>
      <c r="C162" s="219" t="s">
        <v>823</v>
      </c>
      <c r="D162" s="111" t="s">
        <v>169</v>
      </c>
      <c r="E162" s="220" t="str">
        <f>IF('46 - передача'!$E$143="","",'46 - передача'!$E$143)</f>
        <v>АО "Россети Тюмень"</v>
      </c>
      <c r="F162" s="224">
        <f>SUM(G162:J162)</f>
        <v>3619.0873420800003</v>
      </c>
      <c r="G162" s="225">
        <f>G143</f>
        <v>3466.20436288</v>
      </c>
      <c r="H162" s="225">
        <f>H143</f>
        <v>0</v>
      </c>
      <c r="I162" s="225">
        <f>I143</f>
        <v>152.8829792</v>
      </c>
      <c r="J162" s="226"/>
      <c r="K162" s="149"/>
    </row>
    <row r="163" spans="3:11" ht="2.25" customHeight="1" thickBot="1">
      <c r="C163" s="148"/>
      <c r="D163" s="179"/>
      <c r="E163" s="209" t="s">
        <v>237</v>
      </c>
      <c r="F163" s="180"/>
      <c r="G163" s="180"/>
      <c r="H163" s="180"/>
      <c r="I163" s="180"/>
      <c r="J163" s="181"/>
      <c r="K163" s="149"/>
    </row>
    <row r="164" spans="3:11" ht="11.25">
      <c r="C164" s="191"/>
      <c r="D164" s="192"/>
      <c r="E164" s="193"/>
      <c r="F164" s="194"/>
      <c r="G164" s="194"/>
      <c r="H164" s="194"/>
      <c r="I164" s="194"/>
      <c r="J164" s="194"/>
      <c r="K164" s="195"/>
    </row>
  </sheetData>
  <sheetProtection password="FA9C" sheet="1" objects="1" scenarios="1" formatColumns="0" formatRows="0"/>
  <mergeCells count="7">
    <mergeCell ref="D140:J140"/>
    <mergeCell ref="D145:J145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4:J125 J115 G114:J114 G117:J118 G120:J121 J119 G19:J19 G32:J32 H34:J34 J36:J37 I35:J35 J62 J66 G72:J72 G61:J61 G64:J65 G67:J68 G85:J85 J90 G86 G87:J89 G22:J26 G75:J79 G30:J30 G83:J83 G162:J162 G143:J143 G130:J132 G41:J43 G47:J49 G100:J102 G94:J96 G149:J151">
      <formula1>-999999999999999000000000</formula1>
      <formula2>9.99999999999999E+23</formula2>
    </dataValidation>
    <dataValidation type="decimal" allowBlank="1" showInputMessage="1" showErrorMessage="1" sqref="G159:I159 G119:I119 G115:I115 I36:I37 H35:H37 G33:G37 G62:I62 G66:I66 G90:I9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3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3" location="'46 - передача'!$A$1" tooltip="Удалить" display="Удалить"/>
    <hyperlink ref="C43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2022-04-14T05:36:07Z</cp:lastPrinted>
  <dcterms:created xsi:type="dcterms:W3CDTF">2009-01-25T23:42:29Z</dcterms:created>
  <dcterms:modified xsi:type="dcterms:W3CDTF">2022-04-14T05:36:57Z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