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446" windowWidth="27345" windowHeight="11880" tabRatio="849" activeTab="2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<sst xmlns="http://schemas.openxmlformats.org/spreadsheetml/2006/main" count="5899" uniqueCount="680">
  <si>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</si>
  <si>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</si>
  <si>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</si>
  <si>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</si>
  <si>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</si>
  <si>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</si>
  <si>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</si>
  <si>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</si>
  <si>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</si>
  <si>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</si>
  <si>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</si>
  <si>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</si>
  <si>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</si>
  <si>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</si>
  <si>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</si>
  <si>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</si>
  <si>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</si>
  <si>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</si>
  <si>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</si>
  <si>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</si>
  <si>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</si>
  <si>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</si>
  <si>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</si>
  <si>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</si>
  <si>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</si>
  <si>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</si>
  <si>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</si>
  <si>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</si>
  <si>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</si>
  <si>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</si>
  <si>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</si>
  <si>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</si>
  <si>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</si>
  <si>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</si>
  <si>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</si>
  <si>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</si>
  <si>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</si>
  <si>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</si>
  <si>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</si>
  <si>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</si>
  <si>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</si>
  <si>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</si>
  <si>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</si>
  <si>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</si>
  <si>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</si>
  <si>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</si>
  <si>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</si>
  <si>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</si>
  <si>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</si>
  <si>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</si>
  <si>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</si>
  <si>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</si>
  <si>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</si>
  <si>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</si>
  <si>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</si>
  <si>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</si>
  <si>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</si>
  <si>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</si>
  <si>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</si>
  <si>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</si>
  <si>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</si>
  <si>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</si>
  <si>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</si>
  <si>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</si>
  <si>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</si>
  <si>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</si>
  <si>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</si>
  <si>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</si>
  <si>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</si>
  <si>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</si>
  <si>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</si>
  <si>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</si>
  <si>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</si>
  <si>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</si>
  <si>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</si>
  <si>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</si>
  <si>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</si>
  <si>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</si>
  <si>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</si>
  <si>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</si>
  <si>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</si>
  <si>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</si>
  <si>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</si>
  <si>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</si>
  <si>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</si>
  <si>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</si>
  <si>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</si>
  <si>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</si>
  <si>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</si>
  <si>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</si>
  <si>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</si>
  <si>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</si>
  <si>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</si>
  <si>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</si>
  <si>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</si>
  <si>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</si>
  <si>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</si>
  <si>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</si>
  <si>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</si>
  <si>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</si>
  <si>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</si>
  <si>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</si>
  <si>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</si>
  <si>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</si>
  <si>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</si>
  <si>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</si>
  <si>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</si>
  <si>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</si>
  <si>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</si>
  <si>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</si>
  <si>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</si>
  <si>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</si>
  <si>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</si>
  <si>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</si>
  <si>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</si>
  <si>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</si>
  <si>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</si>
  <si>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</si>
  <si>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</si>
  <si>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</si>
  <si>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</si>
  <si>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</si>
  <si>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</si>
  <si>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</si>
  <si>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</si>
  <si>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</si>
  <si>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</si>
  <si>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</si>
  <si>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</si>
  <si>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</si>
  <si>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</si>
  <si>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</si>
  <si>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</si>
  <si>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</si>
  <si>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</si>
  <si>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</si>
  <si>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</si>
  <si>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</si>
  <si>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</si>
  <si>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</si>
  <si>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</si>
  <si>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</si>
  <si>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</si>
  <si>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</si>
  <si>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</si>
  <si>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</si>
  <si>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</si>
  <si>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</si>
  <si>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</si>
  <si>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</si>
  <si>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</si>
  <si>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</si>
  <si>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</si>
  <si>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</si>
  <si>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</si>
  <si>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</si>
  <si>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</si>
  <si>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</si>
  <si>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</si>
  <si>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</si>
  <si>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</si>
  <si>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</si>
  <si>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</si>
  <si>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</si>
  <si>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</si>
  <si>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</si>
  <si>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</si>
  <si>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</si>
  <si>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</si>
  <si>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</si>
  <si>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</si>
  <si>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</si>
  <si>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</si>
  <si>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</si>
  <si>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</si>
  <si>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</si>
  <si>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</si>
  <si>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</si>
  <si>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</si>
  <si>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</si>
  <si>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</si>
  <si>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</si>
  <si>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</si>
  <si>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</si>
  <si>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</si>
  <si>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</si>
  <si>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</si>
  <si>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</si>
  <si>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</si>
  <si>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</si>
  <si>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</si>
  <si>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</si>
  <si>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</si>
  <si>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</si>
  <si>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</si>
  <si>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</si>
  <si>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</si>
  <si>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</si>
  <si>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</si>
  <si>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</si>
  <si>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</si>
  <si>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</si>
  <si>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</si>
  <si>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</si>
  <si>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</si>
  <si>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</si>
  <si>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</si>
  <si>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</si>
  <si>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</si>
  <si>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</si>
  <si>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</si>
  <si>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</si>
  <si>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</si>
  <si>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</si>
  <si>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</si>
  <si>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</si>
  <si>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</si>
  <si>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</si>
  <si>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</si>
  <si>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</si>
  <si>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</si>
  <si>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</si>
  <si>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</si>
  <si>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</si>
  <si>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</si>
  <si>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</si>
  <si>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</si>
  <si>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</si>
  <si>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</si>
  <si>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</si>
  <si>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</si>
  <si>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</si>
  <si>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</si>
  <si>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</si>
  <si>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</si>
  <si>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</si>
  <si>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</si>
  <si>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</si>
  <si>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</si>
  <si>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</si>
  <si>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</si>
  <si>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</si>
  <si>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</si>
  <si>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</si>
  <si>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</si>
  <si>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</si>
  <si>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</si>
  <si>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</si>
  <si>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</si>
  <si>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</si>
  <si>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</si>
  <si>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</si>
  <si>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</si>
  <si>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</si>
  <si>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</si>
  <si>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</si>
  <si>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</si>
  <si>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</si>
  <si>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</si>
  <si>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</si>
  <si>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</si>
  <si>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</si>
  <si>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</si>
  <si>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</si>
  <si>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</si>
  <si>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</si>
  <si>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</si>
  <si>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</si>
  <si>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</si>
  <si>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</si>
  <si>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</si>
  <si>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</si>
  <si>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</si>
  <si>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</si>
  <si>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</si>
  <si>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</si>
  <si>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</si>
  <si>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</si>
  <si>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</si>
  <si>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</si>
  <si>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</si>
  <si>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</si>
  <si>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</si>
  <si>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</si>
  <si>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</si>
  <si>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</si>
  <si>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</si>
  <si>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</si>
  <si>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</si>
  <si>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</si>
  <si>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</si>
  <si>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</si>
  <si>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</si>
  <si>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</si>
  <si>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</si>
  <si>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</si>
  <si>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</si>
  <si>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</si>
  <si>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</si>
  <si>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</si>
  <si>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</si>
  <si>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</si>
  <si>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</si>
  <si>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</si>
  <si>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</si>
  <si>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</si>
  <si>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</si>
  <si>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</si>
  <si>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</si>
  <si>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</si>
  <si>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</si>
  <si>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</si>
  <si>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</si>
  <si>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</si>
  <si>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</si>
  <si>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</si>
  <si>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</si>
  <si>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</si>
  <si>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</si>
  <si>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</si>
  <si>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</si>
  <si>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</si>
  <si>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</si>
  <si>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</si>
  <si>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</si>
  <si>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</si>
  <si>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</si>
  <si>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</si>
  <si>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</si>
  <si>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</si>
  <si>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</si>
  <si>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</si>
  <si>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</si>
  <si>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</si>
  <si>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</si>
  <si>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</si>
  <si>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</si>
  <si>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</si>
  <si>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</si>
  <si>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</si>
  <si>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</si>
  <si>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</si>
  <si>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</si>
  <si>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</si>
  <si>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</si>
  <si>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</si>
  <si>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</si>
  <si>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</si>
  <si>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</si>
  <si>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</si>
  <si>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</si>
  <si>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</si>
  <si>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</si>
  <si>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</si>
  <si>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</si>
  <si>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</si>
  <si>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</si>
  <si>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</si>
  <si>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</si>
  <si>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</si>
  <si>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</si>
  <si>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</si>
  <si>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</si>
  <si>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</si>
  <si>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</si>
  <si>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</si>
  <si>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</si>
  <si>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</si>
  <si>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</si>
  <si>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</si>
  <si>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</si>
  <si>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</si>
  <si>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</si>
  <si>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</si>
  <si>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</si>
  <si>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</si>
  <si>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</si>
  <si>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</si>
  <si>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</si>
  <si>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</si>
  <si>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</si>
  <si>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</si>
  <si>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</si>
  <si>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</si>
  <si>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</si>
  <si>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</si>
  <si>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</si>
  <si>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</si>
  <si>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</si>
  <si>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</si>
  <si>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</si>
  <si>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</si>
  <si>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</si>
  <si>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</si>
  <si>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</si>
  <si>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</si>
  <si>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</si>
  <si>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</si>
  <si>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</si>
  <si>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</si>
  <si>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</si>
  <si>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</si>
  <si>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</si>
  <si>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</si>
  <si>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</si>
  <si>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</si>
  <si>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</si>
  <si>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</si>
  <si>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</si>
  <si>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</si>
  <si>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</si>
  <si>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</si>
  <si>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</si>
  <si>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</si>
  <si>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</si>
  <si>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</si>
  <si>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</si>
  <si>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</si>
  <si>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</si>
  <si>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</si>
  <si>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</si>
  <si>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</si>
  <si>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</si>
  <si>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</si>
  <si>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</si>
  <si>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</si>
  <si>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</si>
  <si>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</si>
  <si>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</si>
  <si>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</si>
  <si>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</si>
  <si>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</si>
  <si>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</si>
  <si>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</si>
  <si>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</si>
  <si>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</si>
  <si>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</si>
  <si>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</si>
  <si>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</si>
  <si>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</si>
  <si>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</si>
  <si>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</si>
  <si>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</si>
  <si>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</si>
  <si>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</si>
  <si>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</si>
  <si>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</si>
  <si>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</si>
  <si>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</si>
  <si>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</si>
  <si>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</si>
  <si>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</si>
  <si>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</si>
  <si>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</si>
  <si>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</si>
  <si>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</si>
  <si>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</si>
  <si>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</si>
  <si>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</si>
  <si>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</si>
  <si>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</si>
  <si>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</si>
  <si>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</si>
  <si>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</si>
  <si>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</si>
  <si>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</si>
  <si>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</si>
  <si>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</si>
  <si>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</si>
  <si>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</si>
  <si>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</si>
  <si>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</si>
  <si>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</si>
  <si>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</si>
  <si>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</si>
  <si>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</si>
  <si>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</si>
  <si>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</si>
  <si>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</si>
  <si>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</si>
  <si>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</si>
  <si>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</si>
  <si>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</si>
  <si>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</si>
  <si>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</si>
  <si>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</si>
  <si>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</si>
  <si>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</si>
  <si>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</si>
  <si>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</si>
  <si>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</si>
  <si>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</si>
  <si>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</si>
  <si>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</si>
  <si>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</si>
  <si>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</si>
  <si>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</si>
  <si>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</si>
  <si>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</si>
  <si>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</si>
  <si>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</si>
  <si>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</si>
  <si>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</si>
  <si>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</si>
  <si>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</si>
  <si>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</si>
  <si>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</si>
  <si>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</si>
  <si>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</si>
  <si>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</si>
  <si>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</si>
  <si>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</si>
  <si>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</si>
  <si>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</si>
  <si>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</si>
  <si>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</si>
  <si>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</si>
  <si>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</si>
  <si>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</si>
  <si>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</si>
  <si>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</si>
  <si>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</si>
  <si>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</si>
  <si>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</si>
  <si>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</si>
  <si>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</si>
  <si>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</si>
  <si>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</si>
  <si>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</si>
  <si>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</si>
  <si>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</si>
  <si>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</si>
  <si>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</si>
  <si>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</si>
  <si>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</si>
  <si>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</si>
  <si>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</si>
  <si>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</si>
  <si>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</si>
  <si>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</si>
  <si>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</si>
  <si>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</si>
  <si>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</si>
  <si>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</si>
  <si>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</si>
  <si>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</si>
  <si>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</si>
  <si>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</si>
  <si>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</si>
  <si>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</si>
  <si>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</si>
  <si>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</si>
  <si>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</si>
  <si>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</si>
  <si>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</si>
  <si>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</si>
  <si>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</si>
  <si>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</si>
  <si>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</si>
  <si>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</si>
  <si>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</si>
  <si>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</si>
  <si>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</si>
  <si>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</si>
  <si>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</si>
  <si>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</si>
  <si>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</si>
  <si>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</si>
  <si>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</si>
  <si>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</si>
  <si>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</si>
  <si>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</si>
  <si>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</si>
  <si>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</si>
  <si>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</si>
  <si>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</si>
  <si>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</si>
  <si>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</si>
  <si>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</si>
  <si>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</si>
  <si>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</si>
  <si>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</si>
  <si>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</si>
  <si>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</si>
  <si>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</si>
  <si>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</si>
  <si>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</si>
  <si>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</si>
  <si>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</si>
  <si>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</si>
  <si>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</si>
  <si>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</si>
  <si>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</si>
  <si>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</si>
  <si>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</si>
  <si>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</si>
  <si>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</si>
  <si>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</si>
  <si>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</si>
  <si>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</si>
  <si>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</si>
  <si>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</si>
  <si>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</si>
  <si>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</si>
  <si>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</si>
  <si>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</si>
  <si>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</si>
  <si>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</si>
  <si>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</si>
  <si>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</si>
  <si>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</si>
  <si>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</si>
  <si>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</si>
  <si>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</si>
  <si>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</si>
  <si>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</si>
  <si>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</si>
  <si>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</si>
  <si>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</si>
  <si>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</si>
  <si>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</si>
  <si>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</si>
  <si>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</si>
  <si>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</si>
  <si>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</si>
  <si>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</si>
  <si>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</si>
  <si>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</si>
  <si>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</si>
  <si>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</si>
  <si>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</si>
  <si>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</si>
  <si>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</si>
  <si>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</si>
  <si>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</si>
  <si>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</si>
  <si>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</si>
  <si>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</si>
  <si>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</si>
  <si>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</si>
  <si>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</si>
  <si>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</si>
  <si>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</si>
  <si>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</si>
  <si>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</si>
  <si>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</si>
  <si>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</si>
  <si>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</si>
  <si>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</si>
  <si>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</si>
  <si>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</si>
  <si>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</si>
  <si>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</si>
  <si>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</si>
  <si>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</si>
  <si>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</si>
  <si>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</si>
  <si>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</si>
  <si>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</si>
  <si>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</si>
  <si>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</si>
  <si>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</si>
  <si>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</si>
  <si>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</si>
  <si>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</si>
  <si>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</si>
  <si>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</si>
  <si>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</si>
  <si>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</si>
  <si>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</si>
  <si>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</si>
  <si>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</si>
  <si>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</si>
  <si>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</si>
  <si>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</si>
  <si>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</si>
  <si>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</si>
  <si>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</si>
  <si>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ais7213@ mail.ru</t>
  </si>
  <si>
    <t>8 (3452) 56-86-56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</si>
</sst>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177" fontId="37" fillId="40" borderId="14" xfId="1121" applyNumberFormat="1" applyFont="1" applyFill="1" applyBorder="1" applyAlignment="1" applyProtection="1">
      <alignment horizontal="center" vertical="center"/>
      <protection locked="0"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5" t="str">
        <f>"Версия "&amp;GetVersion()</f>
        <v>Версия 2.0</v>
      </c>
      <c r="O2" s="175"/>
      <c r="P2" s="175"/>
      <c r="Q2" s="63"/>
    </row>
    <row r="3" spans="2:17" s="16" customFormat="1" ht="30.75" customHeight="1" thickBot="1">
      <c r="B3" s="62"/>
      <c r="C3" s="176" t="s">
        <v>151</v>
      </c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8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3" t="s">
        <v>161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9" t="s">
        <v>157</v>
      </c>
      <c r="E29" s="169"/>
      <c r="F29" s="169"/>
      <c r="G29" s="169"/>
      <c r="H29" s="169"/>
      <c r="I29" s="169"/>
      <c r="J29" s="179"/>
      <c r="K29" s="179"/>
      <c r="L29" s="179"/>
      <c r="M29" s="21"/>
      <c r="N29" s="21"/>
      <c r="O29" s="87"/>
      <c r="P29" s="88"/>
      <c r="Q29" s="18"/>
    </row>
    <row r="30" spans="2:17" ht="18" customHeight="1">
      <c r="B30" s="18"/>
      <c r="C30" s="20"/>
      <c r="D30" s="171" t="s">
        <v>158</v>
      </c>
      <c r="E30" s="180"/>
      <c r="F30" s="181" t="s">
        <v>168</v>
      </c>
      <c r="G30" s="182"/>
      <c r="H30" s="182"/>
      <c r="I30" s="182"/>
      <c r="J30" s="182"/>
      <c r="K30" s="182"/>
      <c r="L30" s="183"/>
      <c r="M30" s="21"/>
      <c r="N30" s="21"/>
      <c r="O30" s="87"/>
      <c r="P30" s="88"/>
      <c r="Q30" s="18"/>
    </row>
    <row r="31" spans="2:17" ht="18" customHeight="1">
      <c r="B31" s="18"/>
      <c r="C31" s="20"/>
      <c r="D31" s="171" t="s">
        <v>159</v>
      </c>
      <c r="E31" s="180"/>
      <c r="F31" s="184" t="s">
        <v>172</v>
      </c>
      <c r="G31" s="185"/>
      <c r="H31" s="185"/>
      <c r="I31" s="185"/>
      <c r="J31" s="185"/>
      <c r="K31" s="185"/>
      <c r="L31" s="186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4" t="s">
        <v>117</v>
      </c>
      <c r="E32" s="165"/>
      <c r="F32" s="166" t="s">
        <v>118</v>
      </c>
      <c r="G32" s="167"/>
      <c r="H32" s="167"/>
      <c r="I32" s="167"/>
      <c r="J32" s="167"/>
      <c r="K32" s="167"/>
      <c r="L32" s="168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9" t="s">
        <v>119</v>
      </c>
      <c r="E34" s="169"/>
      <c r="F34" s="169"/>
      <c r="G34" s="169"/>
      <c r="H34" s="169"/>
      <c r="I34" s="169"/>
      <c r="J34" s="170"/>
      <c r="K34" s="170"/>
      <c r="L34" s="170"/>
      <c r="M34" s="21"/>
      <c r="N34" s="21"/>
      <c r="O34" s="87"/>
      <c r="P34" s="88"/>
      <c r="Q34" s="18"/>
    </row>
    <row r="35" spans="2:17" ht="15" customHeight="1">
      <c r="B35" s="18"/>
      <c r="C35" s="20"/>
      <c r="D35" s="171" t="s">
        <v>160</v>
      </c>
      <c r="E35" s="172"/>
      <c r="F35" s="156" t="s">
        <v>169</v>
      </c>
      <c r="G35" s="156"/>
      <c r="H35" s="156"/>
      <c r="I35" s="156"/>
      <c r="J35" s="156"/>
      <c r="K35" s="156"/>
      <c r="L35" s="157"/>
      <c r="M35" s="20"/>
      <c r="N35" s="21"/>
      <c r="O35" s="87"/>
      <c r="P35" s="88"/>
      <c r="Q35" s="18"/>
    </row>
    <row r="36" spans="2:17" ht="15" customHeight="1">
      <c r="B36" s="18"/>
      <c r="C36" s="20"/>
      <c r="D36" s="171" t="s">
        <v>158</v>
      </c>
      <c r="E36" s="172"/>
      <c r="F36" s="173" t="s">
        <v>170</v>
      </c>
      <c r="G36" s="173"/>
      <c r="H36" s="173"/>
      <c r="I36" s="173"/>
      <c r="J36" s="173"/>
      <c r="K36" s="173"/>
      <c r="L36" s="174"/>
      <c r="M36" s="20"/>
      <c r="N36" s="21"/>
      <c r="O36" s="87"/>
      <c r="P36" s="88"/>
      <c r="Q36" s="18"/>
    </row>
    <row r="37" spans="2:17" ht="15" customHeight="1">
      <c r="B37" s="18"/>
      <c r="C37" s="20"/>
      <c r="D37" s="153" t="s">
        <v>159</v>
      </c>
      <c r="E37" s="154"/>
      <c r="F37" s="155"/>
      <c r="G37" s="156"/>
      <c r="H37" s="156"/>
      <c r="I37" s="156"/>
      <c r="J37" s="156"/>
      <c r="K37" s="156"/>
      <c r="L37" s="157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8" t="s">
        <v>117</v>
      </c>
      <c r="E38" s="159"/>
      <c r="F38" s="160" t="s">
        <v>171</v>
      </c>
      <c r="G38" s="161"/>
      <c r="H38" s="161"/>
      <c r="I38" s="161"/>
      <c r="J38" s="161"/>
      <c r="K38" s="161"/>
      <c r="L38" s="162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5">
      <selection activeCell="H13" sqref="H13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2019</v>
      </c>
    </row>
    <row r="3" spans="1:14" ht="15" customHeight="1">
      <c r="A3" s="26"/>
      <c r="D3" s="94"/>
      <c r="E3" s="95"/>
      <c r="F3" s="96"/>
      <c r="G3" s="187" t="str">
        <f>version</f>
        <v>Версия 2.0</v>
      </c>
      <c r="H3" s="188"/>
      <c r="M3" s="28" t="s">
        <v>120</v>
      </c>
      <c r="N3" s="1">
        <f>N2-1</f>
        <v>2018</v>
      </c>
    </row>
    <row r="4" spans="4:14" ht="30" customHeight="1" thickBot="1">
      <c r="D4" s="92"/>
      <c r="E4" s="189" t="s">
        <v>131</v>
      </c>
      <c r="F4" s="190"/>
      <c r="G4" s="191"/>
      <c r="H4" s="100"/>
      <c r="M4" s="28" t="s">
        <v>121</v>
      </c>
      <c r="N4" s="1">
        <f>N2-2</f>
        <v>2017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4" t="s">
        <v>107</v>
      </c>
      <c r="G6" s="195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2019</v>
      </c>
      <c r="G8" s="106" t="s">
        <v>11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6" t="s">
        <v>407</v>
      </c>
      <c r="G10" s="197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8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8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9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200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1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2" t="s">
        <v>21</v>
      </c>
      <c r="F19" s="193"/>
      <c r="G19" s="113" t="s">
        <v>667</v>
      </c>
      <c r="H19" s="100"/>
    </row>
    <row r="20" spans="1:8" ht="30" customHeight="1">
      <c r="A20" s="32"/>
      <c r="D20" s="92"/>
      <c r="E20" s="202" t="s">
        <v>22</v>
      </c>
      <c r="F20" s="203"/>
      <c r="G20" s="114" t="s">
        <v>668</v>
      </c>
      <c r="H20" s="100"/>
    </row>
    <row r="21" spans="1:8" ht="21" customHeight="1">
      <c r="A21" s="32"/>
      <c r="D21" s="92"/>
      <c r="E21" s="204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204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204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204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205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205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205"/>
      <c r="F27" s="33" t="s">
        <v>150</v>
      </c>
      <c r="G27" s="115" t="s">
        <v>679</v>
      </c>
      <c r="H27" s="101"/>
    </row>
    <row r="28" spans="1:8" ht="21" customHeight="1" thickBot="1">
      <c r="A28" s="32"/>
      <c r="B28" s="5"/>
      <c r="D28" s="93"/>
      <c r="E28" s="206"/>
      <c r="F28" s="112" t="s">
        <v>28</v>
      </c>
      <c r="G28" s="116" t="s">
        <v>678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tabSelected="1" zoomScale="80" zoomScaleNormal="80" zoomScalePageLayoutView="0" workbookViewId="0" topLeftCell="C7">
      <pane xSplit="3" ySplit="10" topLeftCell="F17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R22" sqref="R22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6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Октябрь 2019 года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7"/>
      <c r="U10" s="217"/>
      <c r="V10" s="217"/>
      <c r="W10" s="218"/>
      <c r="X10" s="140"/>
    </row>
    <row r="11" spans="3:24" s="50" customFormat="1" ht="15" customHeight="1" thickBot="1">
      <c r="C11" s="134"/>
      <c r="D11" s="219" t="str">
        <f>"ОРГАНИЗАЦИЯ: "&amp;IF(org="","Не определено",org)</f>
        <v>ОРГАНИЗАЦИЯ: ООО "Агентство Интеллект-Сервис"</v>
      </c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Q11" s="220"/>
      <c r="R11" s="220"/>
      <c r="S11" s="220"/>
      <c r="T11" s="220"/>
      <c r="U11" s="220"/>
      <c r="V11" s="220"/>
      <c r="W11" s="221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1" t="s">
        <v>29</v>
      </c>
      <c r="E13" s="213" t="s">
        <v>132</v>
      </c>
      <c r="F13" s="215" t="s">
        <v>140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 t="s">
        <v>133</v>
      </c>
      <c r="R13" s="215"/>
      <c r="S13" s="215" t="s">
        <v>134</v>
      </c>
      <c r="T13" s="215"/>
      <c r="U13" s="215"/>
      <c r="V13" s="215" t="s">
        <v>135</v>
      </c>
      <c r="W13" s="222" t="s">
        <v>137</v>
      </c>
      <c r="X13" s="141"/>
    </row>
    <row r="14" spans="3:24" ht="17.25" customHeight="1">
      <c r="C14" s="133"/>
      <c r="D14" s="212"/>
      <c r="E14" s="214"/>
      <c r="F14" s="214" t="s">
        <v>14</v>
      </c>
      <c r="G14" s="210" t="s">
        <v>162</v>
      </c>
      <c r="H14" s="210"/>
      <c r="I14" s="210"/>
      <c r="J14" s="210"/>
      <c r="K14" s="210"/>
      <c r="L14" s="210" t="s">
        <v>163</v>
      </c>
      <c r="M14" s="210"/>
      <c r="N14" s="210"/>
      <c r="O14" s="210"/>
      <c r="P14" s="210"/>
      <c r="Q14" s="210" t="s">
        <v>164</v>
      </c>
      <c r="R14" s="210" t="s">
        <v>165</v>
      </c>
      <c r="S14" s="210" t="s">
        <v>14</v>
      </c>
      <c r="T14" s="210" t="s">
        <v>136</v>
      </c>
      <c r="U14" s="210"/>
      <c r="V14" s="210"/>
      <c r="W14" s="223"/>
      <c r="X14" s="141"/>
    </row>
    <row r="15" spans="3:24" ht="60" customHeight="1">
      <c r="C15" s="133"/>
      <c r="D15" s="212"/>
      <c r="E15" s="214"/>
      <c r="F15" s="214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0"/>
      <c r="R15" s="210"/>
      <c r="S15" s="210"/>
      <c r="T15" s="61" t="s">
        <v>164</v>
      </c>
      <c r="U15" s="61" t="s">
        <v>165</v>
      </c>
      <c r="V15" s="210"/>
      <c r="W15" s="223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7" t="str">
        <f>IF(prd2="","Не определено",prd2)</f>
        <v>Октябрь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9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590.961</v>
      </c>
      <c r="G20" s="48">
        <f t="shared" si="0"/>
        <v>108.52399999999999</v>
      </c>
      <c r="H20" s="48">
        <f t="shared" si="0"/>
        <v>27.731</v>
      </c>
      <c r="I20" s="48">
        <f t="shared" si="0"/>
        <v>0</v>
      </c>
      <c r="J20" s="48">
        <f t="shared" si="0"/>
        <v>80.79299999999999</v>
      </c>
      <c r="K20" s="48">
        <f t="shared" si="0"/>
        <v>0</v>
      </c>
      <c r="L20" s="48">
        <f t="shared" si="0"/>
        <v>482.437</v>
      </c>
      <c r="M20" s="48">
        <f t="shared" si="0"/>
        <v>124.217</v>
      </c>
      <c r="N20" s="48">
        <f t="shared" si="0"/>
        <v>0</v>
      </c>
      <c r="O20" s="48">
        <f t="shared" si="0"/>
        <v>358.22</v>
      </c>
      <c r="P20" s="48">
        <f t="shared" si="0"/>
        <v>0</v>
      </c>
      <c r="Q20" s="48">
        <f>IF(G20=0,0,T20/G20)</f>
        <v>2.7880312824812945</v>
      </c>
      <c r="R20" s="48">
        <f>IF(L20=0,0,U20/L20)</f>
        <v>2.7980599953983627</v>
      </c>
      <c r="S20" s="48">
        <f>SUM(S21:S24)</f>
        <v>1652.4559768999998</v>
      </c>
      <c r="T20" s="48">
        <f>SUM(T21:T24)</f>
        <v>302.5683069</v>
      </c>
      <c r="U20" s="48">
        <f>SUM(U21:U24)</f>
        <v>1349.8876699999998</v>
      </c>
      <c r="V20" s="48">
        <f>SUM(V21:V24)</f>
        <v>0</v>
      </c>
      <c r="W20" s="131">
        <f>SUM(W21:W24)</f>
        <v>1652.4559768999998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590.138</v>
      </c>
      <c r="G22" s="48">
        <f>H22+I22+J22+K22</f>
        <v>107.701</v>
      </c>
      <c r="H22" s="56">
        <v>27.731</v>
      </c>
      <c r="I22" s="56">
        <v>0</v>
      </c>
      <c r="J22" s="56">
        <v>79.97</v>
      </c>
      <c r="K22" s="56">
        <v>0</v>
      </c>
      <c r="L22" s="48">
        <f>M22+N22+O22+P22</f>
        <v>482.437</v>
      </c>
      <c r="M22" s="152">
        <v>124.217</v>
      </c>
      <c r="N22" s="56"/>
      <c r="O22" s="152">
        <v>358.22</v>
      </c>
      <c r="P22" s="56"/>
      <c r="Q22" s="56">
        <f>T22/G22/1000</f>
        <v>0.0027902299885794934</v>
      </c>
      <c r="R22" s="56">
        <f>U22/L22</f>
        <v>2.7980599953983627</v>
      </c>
      <c r="S22" s="48">
        <f>T22+U22</f>
        <v>1650.3982299999998</v>
      </c>
      <c r="T22" s="56">
        <f>300510.56/1000</f>
        <v>300.51056</v>
      </c>
      <c r="U22" s="56">
        <f>1349887.67/1000</f>
        <v>1349.8876699999998</v>
      </c>
      <c r="V22" s="56"/>
      <c r="W22" s="57">
        <f>S22-V22</f>
        <v>1650.3982299999998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0.823</v>
      </c>
      <c r="G23" s="48">
        <f>H23+I23+J23+K23</f>
        <v>0.823</v>
      </c>
      <c r="H23" s="56"/>
      <c r="I23" s="56"/>
      <c r="J23" s="56">
        <v>0.823</v>
      </c>
      <c r="K23" s="56"/>
      <c r="L23" s="48">
        <f>M23+N23+O23+P23</f>
        <v>0</v>
      </c>
      <c r="M23" s="56"/>
      <c r="N23" s="56"/>
      <c r="O23" s="56"/>
      <c r="P23" s="56"/>
      <c r="Q23" s="56">
        <v>2.5003</v>
      </c>
      <c r="R23" s="56"/>
      <c r="S23" s="48">
        <f>T23+U23</f>
        <v>2.0577469</v>
      </c>
      <c r="T23" s="152">
        <f>J23*Q23</f>
        <v>2.0577469</v>
      </c>
      <c r="U23" s="56"/>
      <c r="V23" s="56"/>
      <c r="W23" s="57">
        <f>S23-V23</f>
        <v>2.0577469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" right="0" top="0.984251968503937" bottom="0.984251968503937" header="0.11811023622047245" footer="0.11811023622047245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4" t="s">
        <v>139</v>
      </c>
      <c r="B2" s="224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2019-10-21T05:21:15Z</cp:lastPrinted>
  <dcterms:created xsi:type="dcterms:W3CDTF">2009-01-25T23:42:29Z</dcterms:created>
  <dcterms:modified xsi:type="dcterms:W3CDTF">2019-11-18T10:02:33Z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